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nce\Dropbox\1. Doedee Personal\12 - Mr Sustainability\3. Stories\1. Blogs\2021-10 Nuclear Power Part 1 to 3\"/>
    </mc:Choice>
  </mc:AlternateContent>
  <xr:revisionPtr revIDLastSave="0" documentId="13_ncr:1_{DBAA5025-59F5-4D83-BC44-8519146787E9}" xr6:coauthVersionLast="47" xr6:coauthVersionMax="47" xr10:uidLastSave="{00000000-0000-0000-0000-000000000000}"/>
  <bookViews>
    <workbookView xWindow="-120" yWindow="-120" windowWidth="51840" windowHeight="21120" xr2:uid="{DD61D088-98F6-400F-B00C-A374E7F956C3}"/>
  </bookViews>
  <sheets>
    <sheet name="Overview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2" l="1"/>
  <c r="AF9" i="2"/>
  <c r="AG9" i="2"/>
  <c r="I9" i="2"/>
  <c r="J7" i="2"/>
  <c r="J9" i="2" s="1"/>
  <c r="K7" i="2"/>
  <c r="K9" i="2" s="1"/>
  <c r="L7" i="2"/>
  <c r="L10" i="2" s="1"/>
  <c r="M7" i="2"/>
  <c r="M9" i="2" s="1"/>
  <c r="N7" i="2"/>
  <c r="N9" i="2" s="1"/>
  <c r="O7" i="2"/>
  <c r="O9" i="2" s="1"/>
  <c r="P7" i="2"/>
  <c r="P8" i="2" s="1"/>
  <c r="Q7" i="2"/>
  <c r="Q9" i="2" s="1"/>
  <c r="R7" i="2"/>
  <c r="R9" i="2" s="1"/>
  <c r="S7" i="2"/>
  <c r="S9" i="2" s="1"/>
  <c r="T7" i="2"/>
  <c r="T9" i="2" s="1"/>
  <c r="U7" i="2"/>
  <c r="U9" i="2" s="1"/>
  <c r="V7" i="2"/>
  <c r="V9" i="2" s="1"/>
  <c r="W7" i="2"/>
  <c r="W8" i="2" s="1"/>
  <c r="X7" i="2"/>
  <c r="X9" i="2" s="1"/>
  <c r="Y7" i="2"/>
  <c r="Y8" i="2" s="1"/>
  <c r="Z7" i="2"/>
  <c r="Z10" i="2" s="1"/>
  <c r="AA7" i="2"/>
  <c r="AA9" i="2" s="1"/>
  <c r="AB7" i="2"/>
  <c r="AB9" i="2" s="1"/>
  <c r="AC7" i="2"/>
  <c r="AC9" i="2" s="1"/>
  <c r="AD7" i="2"/>
  <c r="AD9" i="2" s="1"/>
  <c r="AE7" i="2"/>
  <c r="AE9" i="2" s="1"/>
  <c r="AF7" i="2"/>
  <c r="AG7" i="2"/>
  <c r="I7" i="2"/>
  <c r="J22" i="2"/>
  <c r="J24" i="2" s="1"/>
  <c r="G47" i="2"/>
  <c r="G48" i="2"/>
  <c r="G49" i="2"/>
  <c r="G50" i="2"/>
  <c r="G51" i="2"/>
  <c r="G52" i="2"/>
  <c r="G53" i="2"/>
  <c r="G46" i="2"/>
  <c r="E60" i="2"/>
  <c r="E61" i="2" s="1"/>
  <c r="C60" i="2"/>
  <c r="C61" i="2" s="1"/>
  <c r="C59" i="2"/>
  <c r="D28" i="2"/>
  <c r="D29" i="2"/>
  <c r="H47" i="2"/>
  <c r="H48" i="2"/>
  <c r="H49" i="2"/>
  <c r="H50" i="2"/>
  <c r="H51" i="2"/>
  <c r="H52" i="2"/>
  <c r="H53" i="2"/>
  <c r="H46" i="2"/>
  <c r="D21" i="2"/>
  <c r="D22" i="2" s="1"/>
  <c r="I23" i="2" s="1"/>
  <c r="D6" i="2"/>
  <c r="D40" i="2"/>
  <c r="D15" i="2" l="1"/>
  <c r="W9" i="2"/>
  <c r="W12" i="2" s="1"/>
  <c r="P9" i="2"/>
  <c r="P12" i="2" s="1"/>
  <c r="O8" i="2"/>
  <c r="O12" i="2" s="1"/>
  <c r="AE10" i="2"/>
  <c r="L9" i="2"/>
  <c r="M10" i="2"/>
  <c r="Z9" i="2"/>
  <c r="Z12" i="2" s="1"/>
  <c r="O10" i="2"/>
  <c r="T12" i="2"/>
  <c r="Y9" i="2"/>
  <c r="Y12" i="2" s="1"/>
  <c r="I8" i="2"/>
  <c r="I12" i="2" s="1"/>
  <c r="X8" i="2"/>
  <c r="X12" i="2" s="1"/>
  <c r="W10" i="2"/>
  <c r="V8" i="2"/>
  <c r="V12" i="2" s="1"/>
  <c r="Y10" i="2"/>
  <c r="X10" i="2"/>
  <c r="N10" i="2"/>
  <c r="J10" i="2"/>
  <c r="U8" i="2"/>
  <c r="U12" i="2" s="1"/>
  <c r="T8" i="2"/>
  <c r="S8" i="2"/>
  <c r="S12" i="2" s="1"/>
  <c r="R8" i="2"/>
  <c r="R12" i="2" s="1"/>
  <c r="AG8" i="2"/>
  <c r="AG12" i="2" s="1"/>
  <c r="Q8" i="2"/>
  <c r="Q12" i="2" s="1"/>
  <c r="AF8" i="2"/>
  <c r="AF12" i="2" s="1"/>
  <c r="AE8" i="2"/>
  <c r="AE12" i="2" s="1"/>
  <c r="AD8" i="2"/>
  <c r="AD12" i="2" s="1"/>
  <c r="N8" i="2"/>
  <c r="N12" i="2" s="1"/>
  <c r="AC8" i="2"/>
  <c r="AC12" i="2" s="1"/>
  <c r="M8" i="2"/>
  <c r="M12" i="2" s="1"/>
  <c r="AB8" i="2"/>
  <c r="AB12" i="2" s="1"/>
  <c r="L8" i="2"/>
  <c r="AA8" i="2"/>
  <c r="AA12" i="2" s="1"/>
  <c r="K8" i="2"/>
  <c r="K12" i="2" s="1"/>
  <c r="Z8" i="2"/>
  <c r="J8" i="2"/>
  <c r="J12" i="2" s="1"/>
  <c r="S10" i="2"/>
  <c r="Q10" i="2"/>
  <c r="I10" i="2"/>
  <c r="I11" i="2" s="1"/>
  <c r="I13" i="2" s="1"/>
  <c r="AG10" i="2"/>
  <c r="AF10" i="2"/>
  <c r="P10" i="2"/>
  <c r="U10" i="2"/>
  <c r="I25" i="2"/>
  <c r="AA10" i="2"/>
  <c r="K10" i="2"/>
  <c r="AD10" i="2"/>
  <c r="V10" i="2"/>
  <c r="T10" i="2"/>
  <c r="R10" i="2"/>
  <c r="AC10" i="2"/>
  <c r="AB10" i="2"/>
  <c r="K22" i="2"/>
  <c r="D33" i="2"/>
  <c r="D34" i="2" s="1"/>
  <c r="D37" i="2" s="1"/>
  <c r="E62" i="2"/>
  <c r="L12" i="2" l="1"/>
  <c r="J11" i="2"/>
  <c r="I26" i="2"/>
  <c r="J25" i="2" s="1"/>
  <c r="J27" i="2" s="1"/>
  <c r="I27" i="2"/>
  <c r="I28" i="2" s="1"/>
  <c r="L22" i="2"/>
  <c r="M22" i="2" s="1"/>
  <c r="N22" i="2" s="1"/>
  <c r="O22" i="2" s="1"/>
  <c r="P22" i="2" s="1"/>
  <c r="Q22" i="2" s="1"/>
  <c r="R22" i="2" s="1"/>
  <c r="S22" i="2" s="1"/>
  <c r="T22" i="2" s="1"/>
  <c r="U22" i="2" s="1"/>
  <c r="V22" i="2" s="1"/>
  <c r="W22" i="2" s="1"/>
  <c r="X22" i="2" s="1"/>
  <c r="Y22" i="2" s="1"/>
  <c r="Z22" i="2" s="1"/>
  <c r="AA22" i="2" s="1"/>
  <c r="AB22" i="2" s="1"/>
  <c r="AC22" i="2" s="1"/>
  <c r="AD22" i="2" s="1"/>
  <c r="AE22" i="2" s="1"/>
  <c r="AF22" i="2" s="1"/>
  <c r="AG22" i="2" s="1"/>
  <c r="AG24" i="2" s="1"/>
  <c r="K24" i="2"/>
  <c r="D36" i="2"/>
  <c r="J13" i="2" l="1"/>
  <c r="K11" i="2"/>
  <c r="I16" i="2"/>
  <c r="I17" i="2" s="1"/>
  <c r="J26" i="2"/>
  <c r="K25" i="2" s="1"/>
  <c r="K27" i="2" s="1"/>
  <c r="J28" i="2"/>
  <c r="I14" i="2"/>
  <c r="R24" i="2"/>
  <c r="P24" i="2"/>
  <c r="AB24" i="2"/>
  <c r="AE24" i="2"/>
  <c r="D24" i="2"/>
  <c r="S24" i="2"/>
  <c r="U24" i="2"/>
  <c r="AC24" i="2"/>
  <c r="L24" i="2"/>
  <c r="AD24" i="2"/>
  <c r="X24" i="2"/>
  <c r="N24" i="2"/>
  <c r="AA24" i="2"/>
  <c r="V24" i="2"/>
  <c r="Y24" i="2"/>
  <c r="T24" i="2"/>
  <c r="Z24" i="2"/>
  <c r="Q24" i="2"/>
  <c r="AF24" i="2"/>
  <c r="W24" i="2"/>
  <c r="M24" i="2"/>
  <c r="O24" i="2"/>
  <c r="J14" i="2" l="1"/>
  <c r="J16" i="2"/>
  <c r="J17" i="2" s="1"/>
  <c r="L11" i="2"/>
  <c r="L13" i="2" s="1"/>
  <c r="L16" i="2" s="1"/>
  <c r="K13" i="2"/>
  <c r="K28" i="2"/>
  <c r="K26" i="2"/>
  <c r="M11" i="2" l="1"/>
  <c r="M13" i="2" s="1"/>
  <c r="M16" i="2" s="1"/>
  <c r="K16" i="2"/>
  <c r="K17" i="2" s="1"/>
  <c r="L17" i="2" s="1"/>
  <c r="K14" i="2"/>
  <c r="L14" i="2" s="1"/>
  <c r="L25" i="2"/>
  <c r="L27" i="2" s="1"/>
  <c r="L28" i="2" s="1"/>
  <c r="N11" i="2" l="1"/>
  <c r="N13" i="2" s="1"/>
  <c r="M17" i="2"/>
  <c r="M14" i="2"/>
  <c r="O11" i="2"/>
  <c r="L26" i="2"/>
  <c r="M25" i="2" s="1"/>
  <c r="M27" i="2" s="1"/>
  <c r="M28" i="2" s="1"/>
  <c r="N16" i="2" l="1"/>
  <c r="N17" i="2" s="1"/>
  <c r="N14" i="2"/>
  <c r="P11" i="2"/>
  <c r="O13" i="2"/>
  <c r="O16" i="2" s="1"/>
  <c r="M26" i="2"/>
  <c r="N25" i="2" s="1"/>
  <c r="N27" i="2" s="1"/>
  <c r="N28" i="2" s="1"/>
  <c r="O14" i="2" l="1"/>
  <c r="O17" i="2"/>
  <c r="Q11" i="2"/>
  <c r="P13" i="2"/>
  <c r="P16" i="2" s="1"/>
  <c r="N26" i="2"/>
  <c r="O25" i="2" s="1"/>
  <c r="O27" i="2" s="1"/>
  <c r="O28" i="2" s="1"/>
  <c r="P14" i="2" l="1"/>
  <c r="P17" i="2"/>
  <c r="R11" i="2"/>
  <c r="Q13" i="2"/>
  <c r="Q16" i="2" s="1"/>
  <c r="O26" i="2"/>
  <c r="P25" i="2" s="1"/>
  <c r="P27" i="2" s="1"/>
  <c r="P28" i="2" s="1"/>
  <c r="Q17" i="2" l="1"/>
  <c r="Q14" i="2"/>
  <c r="S11" i="2"/>
  <c r="R13" i="2"/>
  <c r="R16" i="2" s="1"/>
  <c r="P26" i="2"/>
  <c r="Q25" i="2" s="1"/>
  <c r="R17" i="2" l="1"/>
  <c r="R14" i="2"/>
  <c r="T11" i="2"/>
  <c r="S13" i="2"/>
  <c r="S16" i="2" s="1"/>
  <c r="Q27" i="2"/>
  <c r="Q28" i="2" s="1"/>
  <c r="S17" i="2" l="1"/>
  <c r="S14" i="2"/>
  <c r="U11" i="2"/>
  <c r="T13" i="2"/>
  <c r="T16" i="2" s="1"/>
  <c r="Q26" i="2"/>
  <c r="T17" i="2" l="1"/>
  <c r="T14" i="2"/>
  <c r="V11" i="2"/>
  <c r="U13" i="2"/>
  <c r="U16" i="2" s="1"/>
  <c r="R25" i="2"/>
  <c r="R27" i="2" s="1"/>
  <c r="R28" i="2" s="1"/>
  <c r="U17" i="2" l="1"/>
  <c r="U14" i="2"/>
  <c r="W11" i="2"/>
  <c r="V13" i="2"/>
  <c r="V16" i="2" s="1"/>
  <c r="R26" i="2"/>
  <c r="V17" i="2" l="1"/>
  <c r="V14" i="2"/>
  <c r="X11" i="2"/>
  <c r="W13" i="2"/>
  <c r="W16" i="2" s="1"/>
  <c r="S25" i="2"/>
  <c r="S26" i="2" s="1"/>
  <c r="T25" i="2" s="1"/>
  <c r="T27" i="2" s="1"/>
  <c r="W17" i="2" l="1"/>
  <c r="W14" i="2"/>
  <c r="Y11" i="2"/>
  <c r="X13" i="2"/>
  <c r="X16" i="2" s="1"/>
  <c r="S27" i="2"/>
  <c r="S28" i="2" s="1"/>
  <c r="T28" i="2" s="1"/>
  <c r="T26" i="2"/>
  <c r="U25" i="2" s="1"/>
  <c r="X17" i="2" l="1"/>
  <c r="X14" i="2"/>
  <c r="Z11" i="2"/>
  <c r="Y13" i="2"/>
  <c r="Y16" i="2" s="1"/>
  <c r="U27" i="2"/>
  <c r="U28" i="2" s="1"/>
  <c r="Y17" i="2" l="1"/>
  <c r="Y14" i="2"/>
  <c r="AA11" i="2"/>
  <c r="Z13" i="2"/>
  <c r="Z16" i="2" s="1"/>
  <c r="U26" i="2"/>
  <c r="V25" i="2" s="1"/>
  <c r="Z17" i="2" l="1"/>
  <c r="Z14" i="2"/>
  <c r="AB11" i="2"/>
  <c r="AA13" i="2"/>
  <c r="AA16" i="2" s="1"/>
  <c r="V27" i="2"/>
  <c r="V28" i="2" s="1"/>
  <c r="AA17" i="2" l="1"/>
  <c r="AA14" i="2"/>
  <c r="AC11" i="2"/>
  <c r="AB13" i="2"/>
  <c r="AB16" i="2" s="1"/>
  <c r="V26" i="2"/>
  <c r="W25" i="2" s="1"/>
  <c r="AB17" i="2" l="1"/>
  <c r="AB14" i="2"/>
  <c r="AD11" i="2"/>
  <c r="AC13" i="2"/>
  <c r="AC16" i="2" s="1"/>
  <c r="W27" i="2"/>
  <c r="W28" i="2" s="1"/>
  <c r="AC17" i="2" l="1"/>
  <c r="AC14" i="2"/>
  <c r="AE11" i="2"/>
  <c r="AD13" i="2"/>
  <c r="AD16" i="2" s="1"/>
  <c r="W26" i="2"/>
  <c r="X25" i="2" s="1"/>
  <c r="AD17" i="2" l="1"/>
  <c r="AD14" i="2"/>
  <c r="AF11" i="2"/>
  <c r="AE13" i="2"/>
  <c r="AE16" i="2" s="1"/>
  <c r="X27" i="2"/>
  <c r="X28" i="2" s="1"/>
  <c r="AE17" i="2" l="1"/>
  <c r="AE14" i="2"/>
  <c r="AG11" i="2"/>
  <c r="AG13" i="2" s="1"/>
  <c r="D14" i="2" s="1"/>
  <c r="D16" i="2" s="1"/>
  <c r="AF13" i="2"/>
  <c r="AF16" i="2" s="1"/>
  <c r="X26" i="2"/>
  <c r="Y25" i="2" s="1"/>
  <c r="AF17" i="2" l="1"/>
  <c r="AG16" i="2"/>
  <c r="D13" i="2" s="1"/>
  <c r="AF14" i="2"/>
  <c r="AG14" i="2" s="1"/>
  <c r="Y27" i="2"/>
  <c r="Y28" i="2" s="1"/>
  <c r="AG17" i="2" l="1"/>
  <c r="Y26" i="2"/>
  <c r="Z25" i="2" s="1"/>
  <c r="Z27" i="2" l="1"/>
  <c r="Z28" i="2" s="1"/>
  <c r="Z26" i="2" l="1"/>
  <c r="AA25" i="2" s="1"/>
  <c r="AA27" i="2" l="1"/>
  <c r="AA28" i="2" s="1"/>
  <c r="AA26" i="2" l="1"/>
  <c r="AB25" i="2" s="1"/>
  <c r="AB27" i="2" l="1"/>
  <c r="AB28" i="2" s="1"/>
  <c r="AB26" i="2" l="1"/>
  <c r="AC25" i="2" s="1"/>
  <c r="AC27" i="2" l="1"/>
  <c r="AC28" i="2" s="1"/>
  <c r="AC26" i="2" l="1"/>
  <c r="AD25" i="2" s="1"/>
  <c r="AD27" i="2" l="1"/>
  <c r="AD28" i="2" s="1"/>
  <c r="AD26" i="2" l="1"/>
  <c r="AE25" i="2" s="1"/>
  <c r="AE27" i="2" l="1"/>
  <c r="AE28" i="2" s="1"/>
  <c r="AE26" i="2" l="1"/>
  <c r="AF25" i="2" s="1"/>
  <c r="AF27" i="2" l="1"/>
  <c r="AF28" i="2" s="1"/>
  <c r="AF26" i="2" l="1"/>
  <c r="AG25" i="2" s="1"/>
  <c r="AG27" i="2" l="1"/>
  <c r="D25" i="2" l="1"/>
  <c r="AG28" i="2"/>
  <c r="AG26" i="2"/>
</calcChain>
</file>

<file path=xl/sharedStrings.xml><?xml version="1.0" encoding="utf-8"?>
<sst xmlns="http://schemas.openxmlformats.org/spreadsheetml/2006/main" count="109" uniqueCount="68">
  <si>
    <t>MW</t>
  </si>
  <si>
    <t>Nuclear</t>
  </si>
  <si>
    <t>Solar</t>
  </si>
  <si>
    <t>LCOE</t>
  </si>
  <si>
    <t>Construction Cost</t>
  </si>
  <si>
    <t>€/kW</t>
  </si>
  <si>
    <t>€/kWh</t>
  </si>
  <si>
    <t>Interest rate</t>
  </si>
  <si>
    <t>-</t>
  </si>
  <si>
    <t>Years</t>
  </si>
  <si>
    <t>Revenue</t>
  </si>
  <si>
    <t>Power Plant Size</t>
  </si>
  <si>
    <t>kWh</t>
  </si>
  <si>
    <t>€/kWp</t>
  </si>
  <si>
    <t>This is enough to power</t>
  </si>
  <si>
    <t xml:space="preserve">of Netherlands peak power </t>
  </si>
  <si>
    <t>Installed Peak Power in Netherlands</t>
  </si>
  <si>
    <t>Source: https://www.statista.com/statistics/1189565/netherlands-installed-electricity-capacity-by-type/</t>
  </si>
  <si>
    <t>MWp</t>
  </si>
  <si>
    <t>Total Construction Cost</t>
  </si>
  <si>
    <t>€</t>
  </si>
  <si>
    <t>Total Power Provided Over Lifetime</t>
  </si>
  <si>
    <t>Wp per solar panel</t>
  </si>
  <si>
    <t>Wp</t>
  </si>
  <si>
    <t>kWp</t>
  </si>
  <si>
    <t>Number of Wp</t>
  </si>
  <si>
    <t>Number of solar panels</t>
  </si>
  <si>
    <t>Average price</t>
  </si>
  <si>
    <t>Annual yield in kWh</t>
  </si>
  <si>
    <t>€/Wp</t>
  </si>
  <si>
    <t>times the nuclear power plant size</t>
  </si>
  <si>
    <t>Yield/Wp</t>
  </si>
  <si>
    <t>kWh/Wp</t>
  </si>
  <si>
    <t>Source: https://thecostadvisor.com/priceguide/solar-panels-per-watt-peak-costs/</t>
  </si>
  <si>
    <t>€/MWh</t>
  </si>
  <si>
    <t>MWh Production</t>
  </si>
  <si>
    <t>Yield per Wp</t>
  </si>
  <si>
    <t>Yield per MWp</t>
  </si>
  <si>
    <t>MWh/MWp</t>
  </si>
  <si>
    <t>MWh</t>
  </si>
  <si>
    <t>Annual Yield</t>
  </si>
  <si>
    <t>Outstanding Loan</t>
  </si>
  <si>
    <t>Total Profit</t>
  </si>
  <si>
    <t>$/Wp</t>
  </si>
  <si>
    <t>Operating Time</t>
  </si>
  <si>
    <t>Debt Payment</t>
  </si>
  <si>
    <t>How to calculate interest rate:</t>
  </si>
  <si>
    <t>How to Calculate a Mortgage Payment in 7 Steps (businessinsider.com)</t>
  </si>
  <si>
    <t>https://www.businessinsider.com/personal-finance/how-to-calculate-mortgage-payment?international=true&amp;r=US&amp;IR=T</t>
  </si>
  <si>
    <t>Principal</t>
  </si>
  <si>
    <t>Total Profit Over Lifetime</t>
  </si>
  <si>
    <t>Solar Panel Degradation</t>
  </si>
  <si>
    <t>Principal Yearly</t>
  </si>
  <si>
    <t>Principal Total</t>
  </si>
  <si>
    <t>Fuel Costs</t>
  </si>
  <si>
    <t>€/yr</t>
  </si>
  <si>
    <t>Yearly Profit</t>
  </si>
  <si>
    <t>Yearly profit</t>
  </si>
  <si>
    <t>Capacity Factor Nuclear Power</t>
  </si>
  <si>
    <t>Total costs over lifetime</t>
  </si>
  <si>
    <t>Total kWh over lifetime</t>
  </si>
  <si>
    <t>Additional OPEX</t>
  </si>
  <si>
    <t>Or in other words</t>
  </si>
  <si>
    <t xml:space="preserve">The amount of solar panels you can buy from one nuclear power plant is </t>
  </si>
  <si>
    <t>solar panels</t>
  </si>
  <si>
    <t>Construction Cost [€/kW]</t>
  </si>
  <si>
    <t>Construction Time [yrs]</t>
  </si>
  <si>
    <t>Electricity Price [€/MWh]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</si>
</sst>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Segoe UI"/>
      <family val="2"/>
    </font>
    <font>
      <b/>
      <sz val="11"/>
      <color theme="0"/>
      <name val="Segoe UI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A1543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2" borderId="1" xfId="0" applyFont="1" applyFill="1" applyBorder="1"/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9" fontId="3" fillId="2" borderId="0" xfId="1" applyFont="1" applyFill="1" applyBorder="1" applyAlignment="1">
      <alignment horizontal="center"/>
    </xf>
    <xf numFmtId="9" fontId="2" fillId="2" borderId="0" xfId="1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164" fontId="2" fillId="2" borderId="0" xfId="0" applyNumberFormat="1" applyFont="1" applyFill="1"/>
    <xf numFmtId="0" fontId="4" fillId="2" borderId="0" xfId="2" applyFill="1"/>
    <xf numFmtId="1" fontId="2" fillId="2" borderId="0" xfId="0" applyNumberFormat="1" applyFont="1" applyFill="1" applyAlignment="1">
      <alignment horizontal="center" vertical="center"/>
    </xf>
    <xf numFmtId="9" fontId="3" fillId="2" borderId="0" xfId="1" applyFont="1" applyFill="1" applyAlignment="1">
      <alignment horizontal="center"/>
    </xf>
    <xf numFmtId="0" fontId="3" fillId="2" borderId="1" xfId="0" applyFont="1" applyFill="1" applyBorder="1" applyAlignment="1">
      <alignment horizontal="left"/>
    </xf>
    <xf numFmtId="10" fontId="3" fillId="2" borderId="0" xfId="1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A15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usinessinsider.com/personal-finance/how-to-calculate-mortgage-payment?international=true&amp;r=US&amp;IR=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1838A-B300-40D5-A873-A11E5183D093}">
  <dimension ref="B4:AG68"/>
  <sheetViews>
    <sheetView tabSelected="1" zoomScaleNormal="100" workbookViewId="0">
      <selection activeCell="D18" sqref="D18"/>
    </sheetView>
  </sheetViews>
  <sheetFormatPr defaultRowHeight="16.5" x14ac:dyDescent="0.3"/>
  <cols>
    <col min="1" max="2" width="9.140625" style="1"/>
    <col min="3" max="3" width="37" style="1" customWidth="1"/>
    <col min="4" max="4" width="19" style="1" bestFit="1" customWidth="1"/>
    <col min="5" max="5" width="11" style="1" customWidth="1"/>
    <col min="6" max="7" width="9.140625" style="1"/>
    <col min="8" max="8" width="21.5703125" style="1" customWidth="1"/>
    <col min="9" max="9" width="25.7109375" style="8" customWidth="1"/>
    <col min="10" max="33" width="15.7109375" style="8" customWidth="1"/>
    <col min="34" max="16384" width="9.140625" style="1"/>
  </cols>
  <sheetData>
    <row r="4" spans="2:33" x14ac:dyDescent="0.3">
      <c r="B4" s="1" t="s">
        <v>1</v>
      </c>
      <c r="C4" s="3" t="s">
        <v>65</v>
      </c>
      <c r="D4" s="13">
        <v>6000</v>
      </c>
      <c r="E4" s="5" t="s">
        <v>5</v>
      </c>
      <c r="G4" s="2"/>
      <c r="H4" s="25" t="s">
        <v>2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2:33" x14ac:dyDescent="0.3">
      <c r="C5" s="3" t="s">
        <v>11</v>
      </c>
      <c r="D5" s="13">
        <v>1000</v>
      </c>
      <c r="E5" s="5" t="s">
        <v>0</v>
      </c>
      <c r="I5" s="8">
        <v>1</v>
      </c>
      <c r="J5" s="8">
        <v>2</v>
      </c>
      <c r="K5" s="8">
        <v>3</v>
      </c>
      <c r="L5" s="8">
        <v>4</v>
      </c>
      <c r="M5" s="8">
        <v>5</v>
      </c>
      <c r="N5" s="8">
        <v>6</v>
      </c>
      <c r="O5" s="8">
        <v>7</v>
      </c>
      <c r="P5" s="8">
        <v>8</v>
      </c>
      <c r="Q5" s="8">
        <v>9</v>
      </c>
      <c r="R5" s="8">
        <v>10</v>
      </c>
      <c r="S5" s="8">
        <v>11</v>
      </c>
      <c r="T5" s="8">
        <v>12</v>
      </c>
      <c r="U5" s="8">
        <v>13</v>
      </c>
      <c r="V5" s="8">
        <v>14</v>
      </c>
      <c r="W5" s="8">
        <v>15</v>
      </c>
      <c r="X5" s="8">
        <v>16</v>
      </c>
      <c r="Y5" s="8">
        <v>17</v>
      </c>
      <c r="Z5" s="8">
        <v>18</v>
      </c>
      <c r="AA5" s="8">
        <v>19</v>
      </c>
      <c r="AB5" s="8">
        <v>20</v>
      </c>
      <c r="AC5" s="8">
        <v>21</v>
      </c>
      <c r="AD5" s="8">
        <v>22</v>
      </c>
      <c r="AE5" s="8">
        <v>23</v>
      </c>
      <c r="AF5" s="8">
        <v>24</v>
      </c>
      <c r="AG5" s="8">
        <v>25</v>
      </c>
    </row>
    <row r="6" spans="2:33" x14ac:dyDescent="0.3">
      <c r="C6" s="3" t="s">
        <v>19</v>
      </c>
      <c r="D6" s="13">
        <f>D5*D4*1000</f>
        <v>6000000000</v>
      </c>
      <c r="E6" s="5" t="s">
        <v>20</v>
      </c>
      <c r="I6" s="8">
        <v>2022</v>
      </c>
      <c r="J6" s="8">
        <v>2023</v>
      </c>
      <c r="K6" s="8">
        <v>2024</v>
      </c>
      <c r="L6" s="8">
        <v>2025</v>
      </c>
      <c r="M6" s="8">
        <v>2026</v>
      </c>
      <c r="N6" s="8">
        <v>2027</v>
      </c>
      <c r="O6" s="8">
        <v>2028</v>
      </c>
      <c r="P6" s="8">
        <v>2029</v>
      </c>
      <c r="Q6" s="8">
        <v>2030</v>
      </c>
      <c r="R6" s="8">
        <v>2031</v>
      </c>
      <c r="S6" s="8">
        <v>2032</v>
      </c>
      <c r="T6" s="8">
        <v>2033</v>
      </c>
      <c r="U6" s="8">
        <v>2034</v>
      </c>
      <c r="V6" s="8">
        <v>2035</v>
      </c>
      <c r="W6" s="8">
        <v>2036</v>
      </c>
      <c r="X6" s="8">
        <v>2037</v>
      </c>
      <c r="Y6" s="8">
        <v>2038</v>
      </c>
      <c r="Z6" s="8">
        <v>2039</v>
      </c>
      <c r="AA6" s="8">
        <v>2040</v>
      </c>
      <c r="AB6" s="8">
        <v>2041</v>
      </c>
      <c r="AC6" s="8">
        <v>2042</v>
      </c>
      <c r="AD6" s="8">
        <v>2043</v>
      </c>
      <c r="AE6" s="8">
        <v>2044</v>
      </c>
      <c r="AF6" s="8">
        <v>2045</v>
      </c>
      <c r="AG6" s="8">
        <v>2046</v>
      </c>
    </row>
    <row r="7" spans="2:33" x14ac:dyDescent="0.3">
      <c r="C7" s="3" t="s">
        <v>66</v>
      </c>
      <c r="D7" s="9">
        <v>6</v>
      </c>
      <c r="E7" s="11" t="s">
        <v>9</v>
      </c>
      <c r="H7" s="1" t="s">
        <v>35</v>
      </c>
      <c r="I7" s="10">
        <f t="shared" ref="I7:AG7" si="0">IF(I5&lt;=$D$7,0,$D$5*24*365)*$D$11</f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8322000</v>
      </c>
      <c r="P7" s="10">
        <f t="shared" si="0"/>
        <v>8322000</v>
      </c>
      <c r="Q7" s="10">
        <f t="shared" si="0"/>
        <v>8322000</v>
      </c>
      <c r="R7" s="10">
        <f t="shared" si="0"/>
        <v>8322000</v>
      </c>
      <c r="S7" s="10">
        <f t="shared" si="0"/>
        <v>8322000</v>
      </c>
      <c r="T7" s="10">
        <f t="shared" si="0"/>
        <v>8322000</v>
      </c>
      <c r="U7" s="10">
        <f t="shared" si="0"/>
        <v>8322000</v>
      </c>
      <c r="V7" s="10">
        <f t="shared" si="0"/>
        <v>8322000</v>
      </c>
      <c r="W7" s="10">
        <f t="shared" si="0"/>
        <v>8322000</v>
      </c>
      <c r="X7" s="10">
        <f t="shared" si="0"/>
        <v>8322000</v>
      </c>
      <c r="Y7" s="10">
        <f t="shared" si="0"/>
        <v>8322000</v>
      </c>
      <c r="Z7" s="10">
        <f t="shared" si="0"/>
        <v>8322000</v>
      </c>
      <c r="AA7" s="10">
        <f t="shared" si="0"/>
        <v>8322000</v>
      </c>
      <c r="AB7" s="10">
        <f t="shared" si="0"/>
        <v>8322000</v>
      </c>
      <c r="AC7" s="10">
        <f t="shared" si="0"/>
        <v>8322000</v>
      </c>
      <c r="AD7" s="10">
        <f t="shared" si="0"/>
        <v>8322000</v>
      </c>
      <c r="AE7" s="10">
        <f t="shared" si="0"/>
        <v>8322000</v>
      </c>
      <c r="AF7" s="10">
        <f t="shared" si="0"/>
        <v>8322000</v>
      </c>
      <c r="AG7" s="10">
        <f t="shared" si="0"/>
        <v>8322000</v>
      </c>
    </row>
    <row r="8" spans="2:33" x14ac:dyDescent="0.3">
      <c r="C8" s="3" t="s">
        <v>44</v>
      </c>
      <c r="D8" s="9">
        <v>25</v>
      </c>
      <c r="E8" s="11" t="s">
        <v>9</v>
      </c>
      <c r="H8" s="1" t="s">
        <v>54</v>
      </c>
      <c r="I8" s="10">
        <f>IF(I7=0,0,$D$9)</f>
        <v>0</v>
      </c>
      <c r="J8" s="10">
        <f t="shared" ref="J8:AG8" si="1">IF(J7=0,0,$D$9)</f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0</v>
      </c>
      <c r="O8" s="10">
        <f t="shared" si="1"/>
        <v>64000000</v>
      </c>
      <c r="P8" s="10">
        <f t="shared" si="1"/>
        <v>64000000</v>
      </c>
      <c r="Q8" s="10">
        <f t="shared" si="1"/>
        <v>64000000</v>
      </c>
      <c r="R8" s="10">
        <f t="shared" si="1"/>
        <v>64000000</v>
      </c>
      <c r="S8" s="10">
        <f t="shared" si="1"/>
        <v>64000000</v>
      </c>
      <c r="T8" s="10">
        <f t="shared" si="1"/>
        <v>64000000</v>
      </c>
      <c r="U8" s="10">
        <f t="shared" si="1"/>
        <v>64000000</v>
      </c>
      <c r="V8" s="10">
        <f t="shared" si="1"/>
        <v>64000000</v>
      </c>
      <c r="W8" s="10">
        <f t="shared" si="1"/>
        <v>64000000</v>
      </c>
      <c r="X8" s="10">
        <f t="shared" si="1"/>
        <v>64000000</v>
      </c>
      <c r="Y8" s="10">
        <f t="shared" si="1"/>
        <v>64000000</v>
      </c>
      <c r="Z8" s="10">
        <f t="shared" si="1"/>
        <v>64000000</v>
      </c>
      <c r="AA8" s="10">
        <f t="shared" si="1"/>
        <v>64000000</v>
      </c>
      <c r="AB8" s="10">
        <f t="shared" si="1"/>
        <v>64000000</v>
      </c>
      <c r="AC8" s="10">
        <f t="shared" si="1"/>
        <v>64000000</v>
      </c>
      <c r="AD8" s="10">
        <f t="shared" si="1"/>
        <v>64000000</v>
      </c>
      <c r="AE8" s="10">
        <f t="shared" si="1"/>
        <v>64000000</v>
      </c>
      <c r="AF8" s="10">
        <f t="shared" si="1"/>
        <v>64000000</v>
      </c>
      <c r="AG8" s="10">
        <f t="shared" si="1"/>
        <v>64000000</v>
      </c>
    </row>
    <row r="9" spans="2:33" x14ac:dyDescent="0.3">
      <c r="C9" s="3" t="s">
        <v>54</v>
      </c>
      <c r="D9" s="13">
        <v>64000000</v>
      </c>
      <c r="E9" s="11" t="s">
        <v>55</v>
      </c>
      <c r="H9" s="1" t="s">
        <v>61</v>
      </c>
      <c r="I9" s="10">
        <f>IF(I7=0,0,$D$10)</f>
        <v>0</v>
      </c>
      <c r="J9" s="10">
        <f t="shared" ref="J9:AG9" si="2">IF(J7=0,0,$D$10)</f>
        <v>0</v>
      </c>
      <c r="K9" s="10">
        <f t="shared" si="2"/>
        <v>0</v>
      </c>
      <c r="L9" s="10">
        <f t="shared" si="2"/>
        <v>0</v>
      </c>
      <c r="M9" s="10">
        <f t="shared" si="2"/>
        <v>0</v>
      </c>
      <c r="N9" s="10">
        <f t="shared" si="2"/>
        <v>0</v>
      </c>
      <c r="O9" s="10">
        <f t="shared" si="2"/>
        <v>800000000</v>
      </c>
      <c r="P9" s="10">
        <f t="shared" si="2"/>
        <v>800000000</v>
      </c>
      <c r="Q9" s="10">
        <f t="shared" si="2"/>
        <v>800000000</v>
      </c>
      <c r="R9" s="10">
        <f t="shared" si="2"/>
        <v>800000000</v>
      </c>
      <c r="S9" s="10">
        <f t="shared" si="2"/>
        <v>800000000</v>
      </c>
      <c r="T9" s="10">
        <f t="shared" si="2"/>
        <v>800000000</v>
      </c>
      <c r="U9" s="10">
        <f t="shared" si="2"/>
        <v>800000000</v>
      </c>
      <c r="V9" s="10">
        <f t="shared" si="2"/>
        <v>800000000</v>
      </c>
      <c r="W9" s="10">
        <f t="shared" si="2"/>
        <v>800000000</v>
      </c>
      <c r="X9" s="10">
        <f t="shared" si="2"/>
        <v>800000000</v>
      </c>
      <c r="Y9" s="10">
        <f t="shared" si="2"/>
        <v>800000000</v>
      </c>
      <c r="Z9" s="10">
        <f t="shared" si="2"/>
        <v>800000000</v>
      </c>
      <c r="AA9" s="10">
        <f t="shared" si="2"/>
        <v>800000000</v>
      </c>
      <c r="AB9" s="10">
        <f t="shared" si="2"/>
        <v>800000000</v>
      </c>
      <c r="AC9" s="10">
        <f t="shared" si="2"/>
        <v>800000000</v>
      </c>
      <c r="AD9" s="10">
        <f t="shared" si="2"/>
        <v>800000000</v>
      </c>
      <c r="AE9" s="10">
        <f t="shared" si="2"/>
        <v>800000000</v>
      </c>
      <c r="AF9" s="10">
        <f t="shared" si="2"/>
        <v>800000000</v>
      </c>
      <c r="AG9" s="10">
        <f t="shared" si="2"/>
        <v>800000000</v>
      </c>
    </row>
    <row r="10" spans="2:33" x14ac:dyDescent="0.3">
      <c r="C10" s="3" t="s">
        <v>61</v>
      </c>
      <c r="D10" s="13">
        <v>800000000</v>
      </c>
      <c r="E10" s="11" t="s">
        <v>55</v>
      </c>
      <c r="H10" s="1" t="s">
        <v>52</v>
      </c>
      <c r="I10" s="10">
        <f t="shared" ref="I10:AG10" si="3">IF(I7=0,(1/$D$7)*$D$6,0)</f>
        <v>1000000000</v>
      </c>
      <c r="J10" s="10">
        <f t="shared" si="3"/>
        <v>1000000000</v>
      </c>
      <c r="K10" s="10">
        <f t="shared" si="3"/>
        <v>1000000000</v>
      </c>
      <c r="L10" s="10">
        <f t="shared" si="3"/>
        <v>1000000000</v>
      </c>
      <c r="M10" s="10">
        <f t="shared" si="3"/>
        <v>1000000000</v>
      </c>
      <c r="N10" s="10">
        <f t="shared" si="3"/>
        <v>1000000000</v>
      </c>
      <c r="O10" s="10">
        <f t="shared" si="3"/>
        <v>0</v>
      </c>
      <c r="P10" s="10">
        <f t="shared" si="3"/>
        <v>0</v>
      </c>
      <c r="Q10" s="10">
        <f t="shared" si="3"/>
        <v>0</v>
      </c>
      <c r="R10" s="10">
        <f t="shared" si="3"/>
        <v>0</v>
      </c>
      <c r="S10" s="10">
        <f t="shared" si="3"/>
        <v>0</v>
      </c>
      <c r="T10" s="10">
        <f t="shared" si="3"/>
        <v>0</v>
      </c>
      <c r="U10" s="10">
        <f t="shared" si="3"/>
        <v>0</v>
      </c>
      <c r="V10" s="10">
        <f t="shared" si="3"/>
        <v>0</v>
      </c>
      <c r="W10" s="10">
        <f t="shared" si="3"/>
        <v>0</v>
      </c>
      <c r="X10" s="10">
        <f t="shared" si="3"/>
        <v>0</v>
      </c>
      <c r="Y10" s="10">
        <f t="shared" si="3"/>
        <v>0</v>
      </c>
      <c r="Z10" s="10">
        <f t="shared" si="3"/>
        <v>0</v>
      </c>
      <c r="AA10" s="10">
        <f t="shared" si="3"/>
        <v>0</v>
      </c>
      <c r="AB10" s="10">
        <f t="shared" si="3"/>
        <v>0</v>
      </c>
      <c r="AC10" s="10">
        <f t="shared" si="3"/>
        <v>0</v>
      </c>
      <c r="AD10" s="10">
        <f t="shared" si="3"/>
        <v>0</v>
      </c>
      <c r="AE10" s="10">
        <f t="shared" si="3"/>
        <v>0</v>
      </c>
      <c r="AF10" s="10">
        <f t="shared" si="3"/>
        <v>0</v>
      </c>
      <c r="AG10" s="10">
        <f t="shared" si="3"/>
        <v>0</v>
      </c>
    </row>
    <row r="11" spans="2:33" x14ac:dyDescent="0.3">
      <c r="C11" s="3" t="s">
        <v>58</v>
      </c>
      <c r="D11" s="23">
        <v>0.95</v>
      </c>
      <c r="E11" s="5" t="s">
        <v>8</v>
      </c>
      <c r="H11" s="1" t="s">
        <v>53</v>
      </c>
      <c r="I11" s="10">
        <f>I10</f>
        <v>1000000000</v>
      </c>
      <c r="J11" s="10">
        <f>I11+J10</f>
        <v>2000000000</v>
      </c>
      <c r="K11" s="10">
        <f t="shared" ref="K11:AG11" si="4">J11+K10</f>
        <v>3000000000</v>
      </c>
      <c r="L11" s="10">
        <f t="shared" si="4"/>
        <v>4000000000</v>
      </c>
      <c r="M11" s="10">
        <f t="shared" si="4"/>
        <v>5000000000</v>
      </c>
      <c r="N11" s="10">
        <f t="shared" si="4"/>
        <v>6000000000</v>
      </c>
      <c r="O11" s="10">
        <f t="shared" si="4"/>
        <v>6000000000</v>
      </c>
      <c r="P11" s="10">
        <f t="shared" si="4"/>
        <v>6000000000</v>
      </c>
      <c r="Q11" s="10">
        <f t="shared" si="4"/>
        <v>6000000000</v>
      </c>
      <c r="R11" s="10">
        <f t="shared" si="4"/>
        <v>6000000000</v>
      </c>
      <c r="S11" s="10">
        <f t="shared" si="4"/>
        <v>6000000000</v>
      </c>
      <c r="T11" s="10">
        <f t="shared" si="4"/>
        <v>6000000000</v>
      </c>
      <c r="U11" s="10">
        <f t="shared" si="4"/>
        <v>6000000000</v>
      </c>
      <c r="V11" s="10">
        <f t="shared" si="4"/>
        <v>6000000000</v>
      </c>
      <c r="W11" s="10">
        <f t="shared" si="4"/>
        <v>6000000000</v>
      </c>
      <c r="X11" s="10">
        <f t="shared" si="4"/>
        <v>6000000000</v>
      </c>
      <c r="Y11" s="10">
        <f t="shared" si="4"/>
        <v>6000000000</v>
      </c>
      <c r="Z11" s="10">
        <f t="shared" si="4"/>
        <v>6000000000</v>
      </c>
      <c r="AA11" s="10">
        <f t="shared" si="4"/>
        <v>6000000000</v>
      </c>
      <c r="AB11" s="10">
        <f t="shared" si="4"/>
        <v>6000000000</v>
      </c>
      <c r="AC11" s="10">
        <f t="shared" si="4"/>
        <v>6000000000</v>
      </c>
      <c r="AD11" s="10">
        <f t="shared" si="4"/>
        <v>6000000000</v>
      </c>
      <c r="AE11" s="10">
        <f t="shared" si="4"/>
        <v>6000000000</v>
      </c>
      <c r="AF11" s="10">
        <f t="shared" si="4"/>
        <v>6000000000</v>
      </c>
      <c r="AG11" s="10">
        <f t="shared" si="4"/>
        <v>6000000000</v>
      </c>
    </row>
    <row r="12" spans="2:33" x14ac:dyDescent="0.3">
      <c r="H12" s="1" t="s">
        <v>10</v>
      </c>
      <c r="I12" s="10">
        <f>I7*$D$17-I8-I9</f>
        <v>0</v>
      </c>
      <c r="J12" s="10">
        <f t="shared" ref="J12:AG12" si="5">J7*$D$17-J8-J9</f>
        <v>0</v>
      </c>
      <c r="K12" s="10">
        <f t="shared" si="5"/>
        <v>0</v>
      </c>
      <c r="L12" s="10">
        <f t="shared" si="5"/>
        <v>0</v>
      </c>
      <c r="M12" s="10">
        <f t="shared" si="5"/>
        <v>0</v>
      </c>
      <c r="N12" s="10">
        <f t="shared" si="5"/>
        <v>0</v>
      </c>
      <c r="O12" s="10">
        <f t="shared" si="5"/>
        <v>550740000</v>
      </c>
      <c r="P12" s="10">
        <f t="shared" si="5"/>
        <v>550740000</v>
      </c>
      <c r="Q12" s="10">
        <f t="shared" si="5"/>
        <v>550740000</v>
      </c>
      <c r="R12" s="10">
        <f t="shared" si="5"/>
        <v>550740000</v>
      </c>
      <c r="S12" s="10">
        <f t="shared" si="5"/>
        <v>550740000</v>
      </c>
      <c r="T12" s="10">
        <f t="shared" si="5"/>
        <v>550740000</v>
      </c>
      <c r="U12" s="10">
        <f t="shared" si="5"/>
        <v>550740000</v>
      </c>
      <c r="V12" s="10">
        <f t="shared" si="5"/>
        <v>550740000</v>
      </c>
      <c r="W12" s="10">
        <f t="shared" si="5"/>
        <v>550740000</v>
      </c>
      <c r="X12" s="10">
        <f t="shared" si="5"/>
        <v>550740000</v>
      </c>
      <c r="Y12" s="10">
        <f t="shared" si="5"/>
        <v>550740000</v>
      </c>
      <c r="Z12" s="10">
        <f t="shared" si="5"/>
        <v>550740000</v>
      </c>
      <c r="AA12" s="10">
        <f t="shared" si="5"/>
        <v>550740000</v>
      </c>
      <c r="AB12" s="10">
        <f t="shared" si="5"/>
        <v>550740000</v>
      </c>
      <c r="AC12" s="10">
        <f t="shared" si="5"/>
        <v>550740000</v>
      </c>
      <c r="AD12" s="10">
        <f t="shared" si="5"/>
        <v>550740000</v>
      </c>
      <c r="AE12" s="10">
        <f t="shared" si="5"/>
        <v>550740000</v>
      </c>
      <c r="AF12" s="10">
        <f t="shared" si="5"/>
        <v>550740000</v>
      </c>
      <c r="AG12" s="10">
        <f t="shared" si="5"/>
        <v>550740000</v>
      </c>
    </row>
    <row r="13" spans="2:33" x14ac:dyDescent="0.3">
      <c r="C13" s="3" t="s">
        <v>50</v>
      </c>
      <c r="D13" s="12">
        <f>SUM(I16:AG16)</f>
        <v>1495297409.7177441</v>
      </c>
      <c r="E13" s="11" t="s">
        <v>20</v>
      </c>
      <c r="H13" s="1" t="s">
        <v>45</v>
      </c>
      <c r="I13" s="10">
        <f t="shared" ref="I13:AG13" si="6">I11*($D$18*(1+$D$18)^$D$8)/((1+$D$18)^$D$8-1)</f>
        <v>57427871.039127819</v>
      </c>
      <c r="J13" s="10">
        <f t="shared" si="6"/>
        <v>114855742.07825564</v>
      </c>
      <c r="K13" s="10">
        <f t="shared" si="6"/>
        <v>172283613.11738345</v>
      </c>
      <c r="L13" s="10">
        <f t="shared" si="6"/>
        <v>229711484.15651128</v>
      </c>
      <c r="M13" s="10">
        <f t="shared" si="6"/>
        <v>287139355.19563907</v>
      </c>
      <c r="N13" s="10">
        <f t="shared" si="6"/>
        <v>344567226.2347669</v>
      </c>
      <c r="O13" s="10">
        <f t="shared" si="6"/>
        <v>344567226.2347669</v>
      </c>
      <c r="P13" s="10">
        <f t="shared" si="6"/>
        <v>344567226.2347669</v>
      </c>
      <c r="Q13" s="10">
        <f t="shared" si="6"/>
        <v>344567226.2347669</v>
      </c>
      <c r="R13" s="10">
        <f t="shared" si="6"/>
        <v>344567226.2347669</v>
      </c>
      <c r="S13" s="10">
        <f t="shared" si="6"/>
        <v>344567226.2347669</v>
      </c>
      <c r="T13" s="10">
        <f t="shared" si="6"/>
        <v>344567226.2347669</v>
      </c>
      <c r="U13" s="10">
        <f t="shared" si="6"/>
        <v>344567226.2347669</v>
      </c>
      <c r="V13" s="10">
        <f t="shared" si="6"/>
        <v>344567226.2347669</v>
      </c>
      <c r="W13" s="10">
        <f t="shared" si="6"/>
        <v>344567226.2347669</v>
      </c>
      <c r="X13" s="10">
        <f t="shared" si="6"/>
        <v>344567226.2347669</v>
      </c>
      <c r="Y13" s="10">
        <f t="shared" si="6"/>
        <v>344567226.2347669</v>
      </c>
      <c r="Z13" s="10">
        <f t="shared" si="6"/>
        <v>344567226.2347669</v>
      </c>
      <c r="AA13" s="10">
        <f t="shared" si="6"/>
        <v>344567226.2347669</v>
      </c>
      <c r="AB13" s="10">
        <f t="shared" si="6"/>
        <v>344567226.2347669</v>
      </c>
      <c r="AC13" s="10">
        <f t="shared" si="6"/>
        <v>344567226.2347669</v>
      </c>
      <c r="AD13" s="10">
        <f t="shared" si="6"/>
        <v>344567226.2347669</v>
      </c>
      <c r="AE13" s="10">
        <f t="shared" si="6"/>
        <v>344567226.2347669</v>
      </c>
      <c r="AF13" s="10">
        <f t="shared" si="6"/>
        <v>344567226.2347669</v>
      </c>
      <c r="AG13" s="10">
        <f t="shared" si="6"/>
        <v>344567226.2347669</v>
      </c>
    </row>
    <row r="14" spans="2:33" x14ac:dyDescent="0.3">
      <c r="C14" s="3" t="s">
        <v>59</v>
      </c>
      <c r="D14" s="12">
        <f>SUM(I13:AG13)+SUM(I8:AG8)+SUM(I9:AG9)</f>
        <v>24168762590.282257</v>
      </c>
      <c r="E14" s="11" t="s">
        <v>20</v>
      </c>
      <c r="H14" s="1" t="s">
        <v>41</v>
      </c>
      <c r="I14" s="10">
        <f>I11*(1+D18)-I13</f>
        <v>972572128.96087217</v>
      </c>
      <c r="J14" s="10">
        <f t="shared" ref="J14:AG14" si="7">(I14+J10)*(1+$D$18)-J13</f>
        <v>1916893550.7514427</v>
      </c>
      <c r="K14" s="10">
        <f t="shared" si="7"/>
        <v>2832116744.1566029</v>
      </c>
      <c r="L14" s="10">
        <f t="shared" si="7"/>
        <v>3717368762.3247895</v>
      </c>
      <c r="M14" s="10">
        <f t="shared" si="7"/>
        <v>4571750469.9988937</v>
      </c>
      <c r="N14" s="10">
        <f t="shared" si="7"/>
        <v>5394335757.8640938</v>
      </c>
      <c r="O14" s="10">
        <f t="shared" si="7"/>
        <v>5211598604.3652496</v>
      </c>
      <c r="P14" s="10">
        <f t="shared" si="7"/>
        <v>5023379336.2614403</v>
      </c>
      <c r="Q14" s="10">
        <f t="shared" si="7"/>
        <v>4829513490.1145163</v>
      </c>
      <c r="R14" s="10">
        <f t="shared" si="7"/>
        <v>4629831668.5831852</v>
      </c>
      <c r="S14" s="10">
        <f t="shared" si="7"/>
        <v>4424159392.4059143</v>
      </c>
      <c r="T14" s="10">
        <f t="shared" si="7"/>
        <v>4212316947.943325</v>
      </c>
      <c r="U14" s="10">
        <f t="shared" si="7"/>
        <v>3994119230.1468582</v>
      </c>
      <c r="V14" s="10">
        <f t="shared" si="7"/>
        <v>3769375580.8164973</v>
      </c>
      <c r="W14" s="10">
        <f t="shared" si="7"/>
        <v>3537889622.0062256</v>
      </c>
      <c r="X14" s="10">
        <f t="shared" si="7"/>
        <v>3299459084.4316454</v>
      </c>
      <c r="Y14" s="10">
        <f t="shared" si="7"/>
        <v>3053875630.7298279</v>
      </c>
      <c r="Z14" s="10">
        <f t="shared" si="7"/>
        <v>2800924673.4169559</v>
      </c>
      <c r="AA14" s="10">
        <f t="shared" si="7"/>
        <v>2540385187.3846979</v>
      </c>
      <c r="AB14" s="10">
        <f t="shared" si="7"/>
        <v>2272029516.771472</v>
      </c>
      <c r="AC14" s="10">
        <f t="shared" si="7"/>
        <v>1995623176.0398493</v>
      </c>
      <c r="AD14" s="10">
        <f t="shared" si="7"/>
        <v>1710924645.086278</v>
      </c>
      <c r="AE14" s="10">
        <f t="shared" si="7"/>
        <v>1417685158.2040994</v>
      </c>
      <c r="AF14" s="10">
        <f t="shared" si="7"/>
        <v>1115648486.7154555</v>
      </c>
      <c r="AG14" s="10">
        <f t="shared" si="7"/>
        <v>804550715.08215237</v>
      </c>
    </row>
    <row r="15" spans="2:33" x14ac:dyDescent="0.3">
      <c r="C15" s="3" t="s">
        <v>60</v>
      </c>
      <c r="D15" s="12">
        <f>SUM(I7:AG7)</f>
        <v>158118000</v>
      </c>
      <c r="E15" s="5" t="s">
        <v>39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2:33" x14ac:dyDescent="0.3">
      <c r="C16" s="3" t="s">
        <v>3</v>
      </c>
      <c r="D16" s="24">
        <f>D14/D15</f>
        <v>152.85269602627315</v>
      </c>
      <c r="E16" s="5" t="s">
        <v>34</v>
      </c>
      <c r="H16" s="1" t="s">
        <v>56</v>
      </c>
      <c r="I16" s="10">
        <f t="shared" ref="I16:AG16" si="8">I12-I13-I8</f>
        <v>-57427871.039127819</v>
      </c>
      <c r="J16" s="10">
        <f t="shared" si="8"/>
        <v>-114855742.07825564</v>
      </c>
      <c r="K16" s="10">
        <f t="shared" si="8"/>
        <v>-172283613.11738345</v>
      </c>
      <c r="L16" s="10">
        <f t="shared" si="8"/>
        <v>-229711484.15651128</v>
      </c>
      <c r="M16" s="10">
        <f t="shared" si="8"/>
        <v>-287139355.19563907</v>
      </c>
      <c r="N16" s="10">
        <f t="shared" si="8"/>
        <v>-344567226.2347669</v>
      </c>
      <c r="O16" s="10">
        <f t="shared" si="8"/>
        <v>142172773.7652331</v>
      </c>
      <c r="P16" s="10">
        <f t="shared" si="8"/>
        <v>142172773.7652331</v>
      </c>
      <c r="Q16" s="10">
        <f t="shared" si="8"/>
        <v>142172773.7652331</v>
      </c>
      <c r="R16" s="10">
        <f t="shared" si="8"/>
        <v>142172773.7652331</v>
      </c>
      <c r="S16" s="10">
        <f t="shared" si="8"/>
        <v>142172773.7652331</v>
      </c>
      <c r="T16" s="10">
        <f t="shared" si="8"/>
        <v>142172773.7652331</v>
      </c>
      <c r="U16" s="10">
        <f t="shared" si="8"/>
        <v>142172773.7652331</v>
      </c>
      <c r="V16" s="10">
        <f t="shared" si="8"/>
        <v>142172773.7652331</v>
      </c>
      <c r="W16" s="10">
        <f t="shared" si="8"/>
        <v>142172773.7652331</v>
      </c>
      <c r="X16" s="10">
        <f t="shared" si="8"/>
        <v>142172773.7652331</v>
      </c>
      <c r="Y16" s="10">
        <f t="shared" si="8"/>
        <v>142172773.7652331</v>
      </c>
      <c r="Z16" s="10">
        <f t="shared" si="8"/>
        <v>142172773.7652331</v>
      </c>
      <c r="AA16" s="10">
        <f t="shared" si="8"/>
        <v>142172773.7652331</v>
      </c>
      <c r="AB16" s="10">
        <f t="shared" si="8"/>
        <v>142172773.7652331</v>
      </c>
      <c r="AC16" s="10">
        <f t="shared" si="8"/>
        <v>142172773.7652331</v>
      </c>
      <c r="AD16" s="10">
        <f t="shared" si="8"/>
        <v>142172773.7652331</v>
      </c>
      <c r="AE16" s="10">
        <f t="shared" si="8"/>
        <v>142172773.7652331</v>
      </c>
      <c r="AF16" s="10">
        <f t="shared" si="8"/>
        <v>142172773.7652331</v>
      </c>
      <c r="AG16" s="10">
        <f t="shared" si="8"/>
        <v>142172773.7652331</v>
      </c>
    </row>
    <row r="17" spans="2:33" x14ac:dyDescent="0.3">
      <c r="C17" s="3" t="s">
        <v>67</v>
      </c>
      <c r="D17" s="14">
        <v>170</v>
      </c>
      <c r="E17" s="5" t="s">
        <v>34</v>
      </c>
      <c r="H17" s="1" t="s">
        <v>42</v>
      </c>
      <c r="I17" s="10">
        <f>I16</f>
        <v>-57427871.039127819</v>
      </c>
      <c r="J17" s="10">
        <f>I17+J16</f>
        <v>-172283613.11738345</v>
      </c>
      <c r="K17" s="10">
        <f t="shared" ref="K17:AG17" si="9">J17+K16</f>
        <v>-344567226.2347669</v>
      </c>
      <c r="L17" s="10">
        <f t="shared" si="9"/>
        <v>-574278710.39127815</v>
      </c>
      <c r="M17" s="10">
        <f t="shared" si="9"/>
        <v>-861418065.58691716</v>
      </c>
      <c r="N17" s="10">
        <f t="shared" si="9"/>
        <v>-1205985291.8216841</v>
      </c>
      <c r="O17" s="10">
        <f t="shared" si="9"/>
        <v>-1063812518.0564511</v>
      </c>
      <c r="P17" s="10">
        <f t="shared" si="9"/>
        <v>-921639744.29121804</v>
      </c>
      <c r="Q17" s="10">
        <f t="shared" si="9"/>
        <v>-779466970.525985</v>
      </c>
      <c r="R17" s="10">
        <f t="shared" si="9"/>
        <v>-637294196.76075196</v>
      </c>
      <c r="S17" s="10">
        <f t="shared" si="9"/>
        <v>-495121422.99551886</v>
      </c>
      <c r="T17" s="10">
        <f t="shared" si="9"/>
        <v>-352948649.23028576</v>
      </c>
      <c r="U17" s="10">
        <f t="shared" si="9"/>
        <v>-210775875.46505266</v>
      </c>
      <c r="V17" s="10">
        <f t="shared" si="9"/>
        <v>-68603101.699819565</v>
      </c>
      <c r="W17" s="10">
        <f t="shared" si="9"/>
        <v>73569672.065413535</v>
      </c>
      <c r="X17" s="10">
        <f t="shared" si="9"/>
        <v>215742445.83064663</v>
      </c>
      <c r="Y17" s="10">
        <f t="shared" si="9"/>
        <v>357915219.59587973</v>
      </c>
      <c r="Z17" s="10">
        <f t="shared" si="9"/>
        <v>500087993.36111283</v>
      </c>
      <c r="AA17" s="10">
        <f t="shared" si="9"/>
        <v>642260767.12634587</v>
      </c>
      <c r="AB17" s="10">
        <f t="shared" si="9"/>
        <v>784433540.89157891</v>
      </c>
      <c r="AC17" s="10">
        <f t="shared" si="9"/>
        <v>926606314.65681195</v>
      </c>
      <c r="AD17" s="10">
        <f t="shared" si="9"/>
        <v>1068779088.422045</v>
      </c>
      <c r="AE17" s="10">
        <f t="shared" si="9"/>
        <v>1210951862.187278</v>
      </c>
      <c r="AF17" s="10">
        <f t="shared" si="9"/>
        <v>1353124635.9525111</v>
      </c>
      <c r="AG17" s="10">
        <f t="shared" si="9"/>
        <v>1495297409.7177441</v>
      </c>
    </row>
    <row r="18" spans="2:33" x14ac:dyDescent="0.3">
      <c r="C18" s="3" t="s">
        <v>7</v>
      </c>
      <c r="D18" s="15">
        <v>0.03</v>
      </c>
      <c r="E18" s="5" t="s">
        <v>8</v>
      </c>
    </row>
    <row r="19" spans="2:33" x14ac:dyDescent="0.3">
      <c r="H19" s="7" t="s">
        <v>2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2:33" x14ac:dyDescent="0.3">
      <c r="B20" s="2" t="s">
        <v>2</v>
      </c>
      <c r="C20" s="3" t="s">
        <v>4</v>
      </c>
      <c r="D20" s="4">
        <v>1</v>
      </c>
      <c r="E20" s="11" t="s">
        <v>29</v>
      </c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P20" s="8">
        <v>8</v>
      </c>
      <c r="Q20" s="8">
        <v>9</v>
      </c>
      <c r="R20" s="8">
        <v>10</v>
      </c>
      <c r="S20" s="8">
        <v>11</v>
      </c>
      <c r="T20" s="8">
        <v>12</v>
      </c>
      <c r="U20" s="8">
        <v>13</v>
      </c>
      <c r="V20" s="8">
        <v>14</v>
      </c>
      <c r="W20" s="8">
        <v>15</v>
      </c>
      <c r="X20" s="8">
        <v>16</v>
      </c>
      <c r="Y20" s="8">
        <v>17</v>
      </c>
      <c r="Z20" s="8">
        <v>18</v>
      </c>
      <c r="AA20" s="8">
        <v>19</v>
      </c>
      <c r="AB20" s="8">
        <v>20</v>
      </c>
      <c r="AC20" s="8">
        <v>21</v>
      </c>
      <c r="AD20" s="8">
        <v>22</v>
      </c>
      <c r="AE20" s="8">
        <v>23</v>
      </c>
      <c r="AF20" s="8">
        <v>24</v>
      </c>
      <c r="AG20" s="8">
        <v>25</v>
      </c>
    </row>
    <row r="21" spans="2:33" x14ac:dyDescent="0.3">
      <c r="C21" s="3" t="s">
        <v>4</v>
      </c>
      <c r="D21" s="13">
        <f>D20*1000</f>
        <v>1000</v>
      </c>
      <c r="E21" s="11" t="s">
        <v>13</v>
      </c>
      <c r="I21" s="8">
        <v>2022</v>
      </c>
      <c r="J21" s="8">
        <v>2023</v>
      </c>
      <c r="K21" s="8">
        <v>2024</v>
      </c>
      <c r="L21" s="8">
        <v>2025</v>
      </c>
      <c r="M21" s="8">
        <v>2026</v>
      </c>
      <c r="N21" s="8">
        <v>2027</v>
      </c>
      <c r="O21" s="8">
        <v>2028</v>
      </c>
      <c r="P21" s="8">
        <v>2029</v>
      </c>
      <c r="Q21" s="8">
        <v>2030</v>
      </c>
      <c r="R21" s="8">
        <v>2031</v>
      </c>
      <c r="S21" s="8">
        <v>2032</v>
      </c>
      <c r="T21" s="8">
        <v>2033</v>
      </c>
      <c r="U21" s="8">
        <v>2034</v>
      </c>
      <c r="V21" s="8">
        <v>2035</v>
      </c>
      <c r="W21" s="8">
        <v>2036</v>
      </c>
      <c r="X21" s="8">
        <v>2037</v>
      </c>
      <c r="Y21" s="8">
        <v>2038</v>
      </c>
      <c r="Z21" s="8">
        <v>2039</v>
      </c>
      <c r="AA21" s="8">
        <v>2040</v>
      </c>
      <c r="AB21" s="8">
        <v>2041</v>
      </c>
      <c r="AC21" s="8">
        <v>2042</v>
      </c>
      <c r="AD21" s="8">
        <v>2043</v>
      </c>
      <c r="AE21" s="8">
        <v>2044</v>
      </c>
      <c r="AF21" s="8">
        <v>2045</v>
      </c>
      <c r="AG21" s="8">
        <v>2046</v>
      </c>
    </row>
    <row r="22" spans="2:33" x14ac:dyDescent="0.3">
      <c r="C22" s="3" t="s">
        <v>19</v>
      </c>
      <c r="D22" s="13">
        <f>D5*D21*1000</f>
        <v>1000000000</v>
      </c>
      <c r="E22" s="11" t="s">
        <v>20</v>
      </c>
      <c r="H22" s="1" t="s">
        <v>35</v>
      </c>
      <c r="I22" s="10">
        <v>0</v>
      </c>
      <c r="J22" s="10">
        <f>D5*D29/2</f>
        <v>425000</v>
      </c>
      <c r="K22" s="10">
        <f>$J$22*2</f>
        <v>850000</v>
      </c>
      <c r="L22" s="10">
        <f t="shared" ref="L22:AG22" si="10">K22*(1-$D$26)</f>
        <v>841500</v>
      </c>
      <c r="M22" s="10">
        <f t="shared" si="10"/>
        <v>833085</v>
      </c>
      <c r="N22" s="10">
        <f t="shared" si="10"/>
        <v>824754.15</v>
      </c>
      <c r="O22" s="10">
        <f t="shared" si="10"/>
        <v>816506.60849999997</v>
      </c>
      <c r="P22" s="10">
        <f t="shared" si="10"/>
        <v>808341.54241499992</v>
      </c>
      <c r="Q22" s="10">
        <f t="shared" si="10"/>
        <v>800258.12699084997</v>
      </c>
      <c r="R22" s="10">
        <f t="shared" si="10"/>
        <v>792255.5457209415</v>
      </c>
      <c r="S22" s="10">
        <f t="shared" si="10"/>
        <v>784332.99026373203</v>
      </c>
      <c r="T22" s="10">
        <f t="shared" si="10"/>
        <v>776489.66036109475</v>
      </c>
      <c r="U22" s="10">
        <f t="shared" si="10"/>
        <v>768724.7637574838</v>
      </c>
      <c r="V22" s="10">
        <f t="shared" si="10"/>
        <v>761037.51611990901</v>
      </c>
      <c r="W22" s="10">
        <f t="shared" si="10"/>
        <v>753427.14095870988</v>
      </c>
      <c r="X22" s="10">
        <f t="shared" si="10"/>
        <v>745892.86954912276</v>
      </c>
      <c r="Y22" s="10">
        <f t="shared" si="10"/>
        <v>738433.94085363147</v>
      </c>
      <c r="Z22" s="10">
        <f t="shared" si="10"/>
        <v>731049.60144509515</v>
      </c>
      <c r="AA22" s="10">
        <f t="shared" si="10"/>
        <v>723739.10543064424</v>
      </c>
      <c r="AB22" s="10">
        <f t="shared" si="10"/>
        <v>716501.71437633783</v>
      </c>
      <c r="AC22" s="10">
        <f t="shared" si="10"/>
        <v>709336.69723257446</v>
      </c>
      <c r="AD22" s="10">
        <f t="shared" si="10"/>
        <v>702243.33026024874</v>
      </c>
      <c r="AE22" s="10">
        <f t="shared" si="10"/>
        <v>695220.89695764624</v>
      </c>
      <c r="AF22" s="10">
        <f t="shared" si="10"/>
        <v>688268.68798806972</v>
      </c>
      <c r="AG22" s="10">
        <f t="shared" si="10"/>
        <v>681386.001108189</v>
      </c>
    </row>
    <row r="23" spans="2:33" x14ac:dyDescent="0.3">
      <c r="C23" s="3" t="s">
        <v>22</v>
      </c>
      <c r="D23" s="9">
        <v>350</v>
      </c>
      <c r="E23" s="11" t="s">
        <v>23</v>
      </c>
      <c r="H23" s="1" t="s">
        <v>49</v>
      </c>
      <c r="I23" s="10">
        <f>D22</f>
        <v>1000000000</v>
      </c>
    </row>
    <row r="24" spans="2:33" x14ac:dyDescent="0.3">
      <c r="C24" s="3" t="s">
        <v>21</v>
      </c>
      <c r="D24" s="12">
        <f>SUM(I22:AG22)</f>
        <v>17967785.890289281</v>
      </c>
      <c r="E24" s="11" t="s">
        <v>39</v>
      </c>
      <c r="H24" s="1" t="s">
        <v>10</v>
      </c>
      <c r="I24" s="8">
        <v>0</v>
      </c>
      <c r="J24" s="10">
        <f t="shared" ref="J24:AG24" si="11">J22*$D$17</f>
        <v>72250000</v>
      </c>
      <c r="K24" s="10">
        <f t="shared" si="11"/>
        <v>144500000</v>
      </c>
      <c r="L24" s="10">
        <f t="shared" si="11"/>
        <v>143055000</v>
      </c>
      <c r="M24" s="10">
        <f t="shared" si="11"/>
        <v>141624450</v>
      </c>
      <c r="N24" s="10">
        <f t="shared" si="11"/>
        <v>140208205.5</v>
      </c>
      <c r="O24" s="10">
        <f t="shared" si="11"/>
        <v>138806123.44499999</v>
      </c>
      <c r="P24" s="10">
        <f t="shared" si="11"/>
        <v>137418062.21054998</v>
      </c>
      <c r="Q24" s="10">
        <f t="shared" si="11"/>
        <v>136043881.5884445</v>
      </c>
      <c r="R24" s="10">
        <f t="shared" si="11"/>
        <v>134683442.77256006</v>
      </c>
      <c r="S24" s="10">
        <f t="shared" si="11"/>
        <v>133336608.34483445</v>
      </c>
      <c r="T24" s="10">
        <f t="shared" si="11"/>
        <v>132003242.26138611</v>
      </c>
      <c r="U24" s="10">
        <f t="shared" si="11"/>
        <v>130683209.83877225</v>
      </c>
      <c r="V24" s="10">
        <f t="shared" si="11"/>
        <v>129376377.74038453</v>
      </c>
      <c r="W24" s="10">
        <f t="shared" si="11"/>
        <v>128082613.96298067</v>
      </c>
      <c r="X24" s="10">
        <f t="shared" si="11"/>
        <v>126801787.82335086</v>
      </c>
      <c r="Y24" s="10">
        <f t="shared" si="11"/>
        <v>125533769.94511735</v>
      </c>
      <c r="Z24" s="10">
        <f t="shared" si="11"/>
        <v>124278432.24566618</v>
      </c>
      <c r="AA24" s="10">
        <f t="shared" si="11"/>
        <v>123035647.92320952</v>
      </c>
      <c r="AB24" s="10">
        <f t="shared" si="11"/>
        <v>121805291.44397743</v>
      </c>
      <c r="AC24" s="10">
        <f t="shared" si="11"/>
        <v>120587238.52953766</v>
      </c>
      <c r="AD24" s="10">
        <f t="shared" si="11"/>
        <v>119381366.14424229</v>
      </c>
      <c r="AE24" s="10">
        <f t="shared" si="11"/>
        <v>118187552.48279986</v>
      </c>
      <c r="AF24" s="10">
        <f t="shared" si="11"/>
        <v>117005676.95797186</v>
      </c>
      <c r="AG24" s="10">
        <f t="shared" si="11"/>
        <v>115835620.18839213</v>
      </c>
    </row>
    <row r="25" spans="2:33" x14ac:dyDescent="0.3">
      <c r="C25" s="3" t="s">
        <v>50</v>
      </c>
      <c r="D25" s="12">
        <f>SUM(I27:AG27)</f>
        <v>1622328996.5048299</v>
      </c>
      <c r="E25" s="11" t="s">
        <v>20</v>
      </c>
      <c r="H25" s="1" t="s">
        <v>45</v>
      </c>
      <c r="I25" s="10">
        <f>D22*(D18*(1+D18)^D8)/((1+D18)^D8-1)</f>
        <v>57427871.039127819</v>
      </c>
      <c r="J25" s="10">
        <f t="shared" ref="J25:AG25" si="12">IF($D$22*($D$18*(1+$D$18)^$D$8)/((1+$D$18)^$D$8-1)&gt;I26,I26*(1+$D$18),$D$22*($D$18*(1+$D$18)^$D$8)/((1+$D$18)^$D$8-1))</f>
        <v>57427871.039127819</v>
      </c>
      <c r="K25" s="10">
        <f t="shared" si="12"/>
        <v>57427871.039127819</v>
      </c>
      <c r="L25" s="10">
        <f t="shared" si="12"/>
        <v>57427871.039127819</v>
      </c>
      <c r="M25" s="10">
        <f t="shared" si="12"/>
        <v>57427871.039127819</v>
      </c>
      <c r="N25" s="10">
        <f t="shared" si="12"/>
        <v>57427871.039127819</v>
      </c>
      <c r="O25" s="10">
        <f t="shared" si="12"/>
        <v>57427871.039127819</v>
      </c>
      <c r="P25" s="10">
        <f t="shared" si="12"/>
        <v>57427871.039127819</v>
      </c>
      <c r="Q25" s="10">
        <f t="shared" si="12"/>
        <v>57427871.039127819</v>
      </c>
      <c r="R25" s="10">
        <f t="shared" si="12"/>
        <v>57427871.039127819</v>
      </c>
      <c r="S25" s="10">
        <f t="shared" si="12"/>
        <v>57427871.039127819</v>
      </c>
      <c r="T25" s="10">
        <f t="shared" si="12"/>
        <v>57427871.039127819</v>
      </c>
      <c r="U25" s="10">
        <f t="shared" si="12"/>
        <v>57427871.039127819</v>
      </c>
      <c r="V25" s="10">
        <f t="shared" si="12"/>
        <v>57427871.039127819</v>
      </c>
      <c r="W25" s="10">
        <f t="shared" si="12"/>
        <v>57427871.039127819</v>
      </c>
      <c r="X25" s="10">
        <f t="shared" si="12"/>
        <v>57427871.039127819</v>
      </c>
      <c r="Y25" s="10">
        <f t="shared" si="12"/>
        <v>57427871.039127819</v>
      </c>
      <c r="Z25" s="10">
        <f t="shared" si="12"/>
        <v>57427871.039127819</v>
      </c>
      <c r="AA25" s="10">
        <f t="shared" si="12"/>
        <v>57427871.039127819</v>
      </c>
      <c r="AB25" s="10">
        <f t="shared" si="12"/>
        <v>57427871.039127819</v>
      </c>
      <c r="AC25" s="10">
        <f t="shared" si="12"/>
        <v>57427871.039127819</v>
      </c>
      <c r="AD25" s="10">
        <f t="shared" si="12"/>
        <v>57427871.039127819</v>
      </c>
      <c r="AE25" s="10">
        <f t="shared" si="12"/>
        <v>57427871.039127819</v>
      </c>
      <c r="AF25" s="10">
        <f t="shared" si="12"/>
        <v>57427871.039127819</v>
      </c>
      <c r="AG25" s="10">
        <f t="shared" si="12"/>
        <v>53925699.905280128</v>
      </c>
    </row>
    <row r="26" spans="2:33" x14ac:dyDescent="0.3">
      <c r="C26" s="22" t="s">
        <v>51</v>
      </c>
      <c r="D26" s="21">
        <v>0.01</v>
      </c>
      <c r="E26" s="5" t="s">
        <v>8</v>
      </c>
      <c r="H26" s="1" t="s">
        <v>41</v>
      </c>
      <c r="I26" s="10">
        <f>IF((1+D18)*(I23-I25)&lt;0,0,(1+D18)*(I23-I25))</f>
        <v>970849292.82969832</v>
      </c>
      <c r="J26" s="10">
        <f t="shared" ref="J26:AG26" si="13">IF(I26*(1+$D$18)-J25&lt;0,0,I26*(1+$D$18)-J25)</f>
        <v>942546900.57546151</v>
      </c>
      <c r="K26" s="10">
        <f t="shared" si="13"/>
        <v>913395436.55359757</v>
      </c>
      <c r="L26" s="10">
        <f t="shared" si="13"/>
        <v>883369428.61107767</v>
      </c>
      <c r="M26" s="10">
        <f t="shared" si="13"/>
        <v>852442640.43028224</v>
      </c>
      <c r="N26" s="10">
        <f t="shared" si="13"/>
        <v>820588048.60406291</v>
      </c>
      <c r="O26" s="10">
        <f t="shared" si="13"/>
        <v>787777819.02305698</v>
      </c>
      <c r="P26" s="10">
        <f t="shared" si="13"/>
        <v>753983282.55462086</v>
      </c>
      <c r="Q26" s="10">
        <f t="shared" si="13"/>
        <v>719174909.99213171</v>
      </c>
      <c r="R26" s="10">
        <f t="shared" si="13"/>
        <v>683322286.2527678</v>
      </c>
      <c r="S26" s="10">
        <f t="shared" si="13"/>
        <v>646394083.80122304</v>
      </c>
      <c r="T26" s="10">
        <f t="shared" si="13"/>
        <v>608358035.27613187</v>
      </c>
      <c r="U26" s="10">
        <f t="shared" si="13"/>
        <v>569180905.29528797</v>
      </c>
      <c r="V26" s="10">
        <f t="shared" si="13"/>
        <v>528828461.4150188</v>
      </c>
      <c r="W26" s="10">
        <f t="shared" si="13"/>
        <v>487265444.21834159</v>
      </c>
      <c r="X26" s="10">
        <f t="shared" si="13"/>
        <v>444455536.50576401</v>
      </c>
      <c r="Y26" s="10">
        <f t="shared" si="13"/>
        <v>400361331.56180912</v>
      </c>
      <c r="Z26" s="10">
        <f t="shared" si="13"/>
        <v>354944300.46953559</v>
      </c>
      <c r="AA26" s="10">
        <f t="shared" si="13"/>
        <v>308164758.44449383</v>
      </c>
      <c r="AB26" s="10">
        <f t="shared" si="13"/>
        <v>259981830.15870082</v>
      </c>
      <c r="AC26" s="10">
        <f t="shared" si="13"/>
        <v>210353414.02433404</v>
      </c>
      <c r="AD26" s="10">
        <f t="shared" si="13"/>
        <v>159236145.40593624</v>
      </c>
      <c r="AE26" s="10">
        <f t="shared" si="13"/>
        <v>106585358.7289865</v>
      </c>
      <c r="AF26" s="10">
        <f t="shared" si="13"/>
        <v>52355048.451728277</v>
      </c>
      <c r="AG26" s="10">
        <f t="shared" si="13"/>
        <v>0</v>
      </c>
    </row>
    <row r="27" spans="2:33" x14ac:dyDescent="0.3">
      <c r="C27" s="3" t="s">
        <v>3</v>
      </c>
      <c r="D27" s="4">
        <v>40</v>
      </c>
      <c r="E27" s="11" t="s">
        <v>6</v>
      </c>
      <c r="H27" s="1" t="s">
        <v>57</v>
      </c>
      <c r="I27" s="10">
        <f t="shared" ref="I27:AG27" si="14">I24-I25</f>
        <v>-57427871.039127819</v>
      </c>
      <c r="J27" s="10">
        <f t="shared" si="14"/>
        <v>14822128.960872181</v>
      </c>
      <c r="K27" s="10">
        <f t="shared" si="14"/>
        <v>87072128.960872173</v>
      </c>
      <c r="L27" s="10">
        <f t="shared" si="14"/>
        <v>85627128.960872173</v>
      </c>
      <c r="M27" s="10">
        <f t="shared" si="14"/>
        <v>84196578.960872173</v>
      </c>
      <c r="N27" s="10">
        <f t="shared" si="14"/>
        <v>82780334.460872173</v>
      </c>
      <c r="O27" s="10">
        <f t="shared" si="14"/>
        <v>81378252.405872166</v>
      </c>
      <c r="P27" s="10">
        <f t="shared" si="14"/>
        <v>79990191.171422154</v>
      </c>
      <c r="Q27" s="10">
        <f t="shared" si="14"/>
        <v>78616010.549316674</v>
      </c>
      <c r="R27" s="10">
        <f t="shared" si="14"/>
        <v>77255571.733432233</v>
      </c>
      <c r="S27" s="10">
        <f t="shared" si="14"/>
        <v>75908737.30570662</v>
      </c>
      <c r="T27" s="10">
        <f t="shared" si="14"/>
        <v>74575371.2222583</v>
      </c>
      <c r="U27" s="10">
        <f t="shared" si="14"/>
        <v>73255338.79964444</v>
      </c>
      <c r="V27" s="10">
        <f t="shared" si="14"/>
        <v>71948506.701256722</v>
      </c>
      <c r="W27" s="10">
        <f t="shared" si="14"/>
        <v>70654742.923852861</v>
      </c>
      <c r="X27" s="10">
        <f t="shared" si="14"/>
        <v>69373916.78422305</v>
      </c>
      <c r="Y27" s="10">
        <f t="shared" si="14"/>
        <v>68105898.905989528</v>
      </c>
      <c r="Z27" s="10">
        <f t="shared" si="14"/>
        <v>66850561.206538357</v>
      </c>
      <c r="AA27" s="10">
        <f t="shared" si="14"/>
        <v>65607776.884081699</v>
      </c>
      <c r="AB27" s="10">
        <f t="shared" si="14"/>
        <v>64377420.404849611</v>
      </c>
      <c r="AC27" s="10">
        <f t="shared" si="14"/>
        <v>63159367.490409844</v>
      </c>
      <c r="AD27" s="10">
        <f t="shared" si="14"/>
        <v>61953495.105114467</v>
      </c>
      <c r="AE27" s="10">
        <f t="shared" si="14"/>
        <v>60759681.443672039</v>
      </c>
      <c r="AF27" s="10">
        <f t="shared" si="14"/>
        <v>59577805.918844037</v>
      </c>
      <c r="AG27" s="10">
        <f t="shared" si="14"/>
        <v>61909920.283112004</v>
      </c>
    </row>
    <row r="28" spans="2:33" x14ac:dyDescent="0.3">
      <c r="C28" s="3" t="s">
        <v>36</v>
      </c>
      <c r="D28" s="4">
        <f>0.85</f>
        <v>0.85</v>
      </c>
      <c r="E28" s="11" t="s">
        <v>32</v>
      </c>
      <c r="H28" s="1" t="s">
        <v>42</v>
      </c>
      <c r="I28" s="10">
        <f>I27</f>
        <v>-57427871.039127819</v>
      </c>
      <c r="J28" s="10">
        <f>I28+J27</f>
        <v>-42605742.078255638</v>
      </c>
      <c r="K28" s="10">
        <f t="shared" ref="K28:AG28" si="15">J28+K27</f>
        <v>44466386.882616535</v>
      </c>
      <c r="L28" s="10">
        <f t="shared" si="15"/>
        <v>130093515.84348871</v>
      </c>
      <c r="M28" s="10">
        <f t="shared" si="15"/>
        <v>214290094.80436087</v>
      </c>
      <c r="N28" s="10">
        <f t="shared" si="15"/>
        <v>297070429.26523304</v>
      </c>
      <c r="O28" s="10">
        <f t="shared" si="15"/>
        <v>378448681.67110521</v>
      </c>
      <c r="P28" s="10">
        <f t="shared" si="15"/>
        <v>458438872.84252739</v>
      </c>
      <c r="Q28" s="10">
        <f t="shared" si="15"/>
        <v>537054883.39184403</v>
      </c>
      <c r="R28" s="10">
        <f t="shared" si="15"/>
        <v>614310455.12527633</v>
      </c>
      <c r="S28" s="10">
        <f t="shared" si="15"/>
        <v>690219192.43098295</v>
      </c>
      <c r="T28" s="10">
        <f t="shared" si="15"/>
        <v>764794563.65324128</v>
      </c>
      <c r="U28" s="10">
        <f t="shared" si="15"/>
        <v>838049902.45288575</v>
      </c>
      <c r="V28" s="10">
        <f t="shared" si="15"/>
        <v>909998409.1541425</v>
      </c>
      <c r="W28" s="10">
        <f t="shared" si="15"/>
        <v>980653152.0779953</v>
      </c>
      <c r="X28" s="10">
        <f t="shared" si="15"/>
        <v>1050027068.8622184</v>
      </c>
      <c r="Y28" s="10">
        <f t="shared" si="15"/>
        <v>1118132967.768208</v>
      </c>
      <c r="Z28" s="10">
        <f t="shared" si="15"/>
        <v>1184983528.9747465</v>
      </c>
      <c r="AA28" s="10">
        <f t="shared" si="15"/>
        <v>1250591305.8588281</v>
      </c>
      <c r="AB28" s="10">
        <f t="shared" si="15"/>
        <v>1314968726.2636776</v>
      </c>
      <c r="AC28" s="10">
        <f t="shared" si="15"/>
        <v>1378128093.7540874</v>
      </c>
      <c r="AD28" s="10">
        <f t="shared" si="15"/>
        <v>1440081588.8592019</v>
      </c>
      <c r="AE28" s="10">
        <f t="shared" si="15"/>
        <v>1500841270.3028738</v>
      </c>
      <c r="AF28" s="10">
        <f t="shared" si="15"/>
        <v>1560419076.2217178</v>
      </c>
      <c r="AG28" s="10">
        <f t="shared" si="15"/>
        <v>1622328996.5048299</v>
      </c>
    </row>
    <row r="29" spans="2:33" x14ac:dyDescent="0.3">
      <c r="C29" s="3" t="s">
        <v>37</v>
      </c>
      <c r="D29" s="4">
        <f>0.85*1000</f>
        <v>850</v>
      </c>
      <c r="E29" s="11" t="s">
        <v>38</v>
      </c>
    </row>
    <row r="30" spans="2:33" x14ac:dyDescent="0.3">
      <c r="J30" s="10"/>
    </row>
    <row r="31" spans="2:33" x14ac:dyDescent="0.3">
      <c r="K31" s="10"/>
    </row>
    <row r="32" spans="2:33" x14ac:dyDescent="0.3">
      <c r="C32" s="1" t="s">
        <v>63</v>
      </c>
      <c r="I32" s="20"/>
    </row>
    <row r="33" spans="3:9" x14ac:dyDescent="0.3">
      <c r="D33" s="12">
        <f>D6/D21</f>
        <v>6000000</v>
      </c>
      <c r="E33" s="4" t="s">
        <v>24</v>
      </c>
      <c r="I33" s="20"/>
    </row>
    <row r="34" spans="3:9" x14ac:dyDescent="0.3">
      <c r="D34" s="12">
        <f>D33/1000</f>
        <v>6000</v>
      </c>
      <c r="E34" s="4" t="s">
        <v>18</v>
      </c>
    </row>
    <row r="35" spans="3:9" x14ac:dyDescent="0.3">
      <c r="D35" s="12">
        <f>D33*1000/D23</f>
        <v>17142857.142857142</v>
      </c>
      <c r="E35" s="1" t="s">
        <v>64</v>
      </c>
    </row>
    <row r="36" spans="3:9" x14ac:dyDescent="0.3">
      <c r="C36" s="1" t="s">
        <v>14</v>
      </c>
      <c r="D36" s="16">
        <f>D34/D40</f>
        <v>0.17131110095934216</v>
      </c>
      <c r="E36" s="1" t="s">
        <v>15</v>
      </c>
    </row>
    <row r="37" spans="3:9" x14ac:dyDescent="0.3">
      <c r="C37" s="1" t="s">
        <v>62</v>
      </c>
      <c r="D37" s="6">
        <f>D34/D5</f>
        <v>6</v>
      </c>
      <c r="E37" s="1" t="s">
        <v>30</v>
      </c>
    </row>
    <row r="40" spans="3:9" x14ac:dyDescent="0.3">
      <c r="C40" s="1" t="s">
        <v>16</v>
      </c>
      <c r="D40" s="12">
        <f>25550+4522+4393+485+37+37</f>
        <v>35024</v>
      </c>
      <c r="E40" s="5" t="s">
        <v>0</v>
      </c>
    </row>
    <row r="41" spans="3:9" x14ac:dyDescent="0.3">
      <c r="C41" s="1" t="s">
        <v>17</v>
      </c>
    </row>
    <row r="45" spans="3:9" x14ac:dyDescent="0.3">
      <c r="C45" s="8" t="s">
        <v>25</v>
      </c>
      <c r="D45" s="8" t="s">
        <v>26</v>
      </c>
      <c r="E45" s="8" t="s">
        <v>27</v>
      </c>
      <c r="F45" s="8" t="s">
        <v>28</v>
      </c>
      <c r="G45" s="1" t="s">
        <v>43</v>
      </c>
      <c r="H45" s="1" t="s">
        <v>31</v>
      </c>
    </row>
    <row r="46" spans="3:9" x14ac:dyDescent="0.3">
      <c r="C46" s="8">
        <v>250</v>
      </c>
      <c r="D46" s="8">
        <v>1</v>
      </c>
      <c r="E46" s="8">
        <v>655</v>
      </c>
      <c r="F46" s="8">
        <v>212.5</v>
      </c>
      <c r="G46" s="18">
        <f>E46/C46</f>
        <v>2.62</v>
      </c>
      <c r="H46" s="1">
        <f>F46/C46</f>
        <v>0.85</v>
      </c>
      <c r="I46" s="17" t="s">
        <v>32</v>
      </c>
    </row>
    <row r="47" spans="3:9" x14ac:dyDescent="0.3">
      <c r="C47" s="8">
        <v>750</v>
      </c>
      <c r="D47" s="8">
        <v>3</v>
      </c>
      <c r="E47" s="8">
        <v>1855</v>
      </c>
      <c r="F47" s="8">
        <v>637.5</v>
      </c>
      <c r="G47" s="18">
        <f t="shared" ref="G47:G53" si="16">E47/C47</f>
        <v>2.4733333333333332</v>
      </c>
      <c r="H47" s="1">
        <f t="shared" ref="H47:H53" si="17">F47/C47</f>
        <v>0.85</v>
      </c>
      <c r="I47" s="17" t="s">
        <v>32</v>
      </c>
    </row>
    <row r="48" spans="3:9" x14ac:dyDescent="0.3">
      <c r="C48" s="8">
        <v>1500</v>
      </c>
      <c r="D48" s="8">
        <v>6</v>
      </c>
      <c r="E48" s="8">
        <v>4000</v>
      </c>
      <c r="F48" s="8">
        <v>1275</v>
      </c>
      <c r="G48" s="18">
        <f t="shared" si="16"/>
        <v>2.6666666666666665</v>
      </c>
      <c r="H48" s="1">
        <f t="shared" si="17"/>
        <v>0.85</v>
      </c>
      <c r="I48" s="17" t="s">
        <v>32</v>
      </c>
    </row>
    <row r="49" spans="3:9" x14ac:dyDescent="0.3">
      <c r="C49" s="8">
        <v>3000</v>
      </c>
      <c r="D49" s="8">
        <v>12</v>
      </c>
      <c r="E49" s="8">
        <v>6800</v>
      </c>
      <c r="F49" s="8">
        <v>2550</v>
      </c>
      <c r="G49" s="18">
        <f t="shared" si="16"/>
        <v>2.2666666666666666</v>
      </c>
      <c r="H49" s="1">
        <f t="shared" si="17"/>
        <v>0.85</v>
      </c>
      <c r="I49" s="17" t="s">
        <v>32</v>
      </c>
    </row>
    <row r="50" spans="3:9" x14ac:dyDescent="0.3">
      <c r="C50" s="8">
        <v>4000</v>
      </c>
      <c r="D50" s="8">
        <v>15</v>
      </c>
      <c r="E50" s="8">
        <v>8720</v>
      </c>
      <c r="F50" s="8">
        <v>3400</v>
      </c>
      <c r="G50" s="18">
        <f t="shared" si="16"/>
        <v>2.1800000000000002</v>
      </c>
      <c r="H50" s="1">
        <f t="shared" si="17"/>
        <v>0.85</v>
      </c>
      <c r="I50" s="17" t="s">
        <v>32</v>
      </c>
    </row>
    <row r="51" spans="3:9" x14ac:dyDescent="0.3">
      <c r="C51" s="8">
        <v>5000</v>
      </c>
      <c r="D51" s="8">
        <v>20</v>
      </c>
      <c r="E51" s="10">
        <v>10100</v>
      </c>
      <c r="F51" s="8">
        <v>4250</v>
      </c>
      <c r="G51" s="18">
        <f t="shared" si="16"/>
        <v>2.02</v>
      </c>
      <c r="H51" s="1">
        <f t="shared" si="17"/>
        <v>0.85</v>
      </c>
      <c r="I51" s="17" t="s">
        <v>32</v>
      </c>
    </row>
    <row r="52" spans="3:9" x14ac:dyDescent="0.3">
      <c r="C52" s="8">
        <v>6000</v>
      </c>
      <c r="D52" s="8">
        <v>24</v>
      </c>
      <c r="E52" s="10">
        <v>11990</v>
      </c>
      <c r="F52" s="8">
        <v>5100</v>
      </c>
      <c r="G52" s="18">
        <f t="shared" si="16"/>
        <v>1.9983333333333333</v>
      </c>
      <c r="H52" s="1">
        <f t="shared" si="17"/>
        <v>0.85</v>
      </c>
      <c r="I52" s="17" t="s">
        <v>32</v>
      </c>
    </row>
    <row r="53" spans="3:9" x14ac:dyDescent="0.3">
      <c r="C53" s="8">
        <v>7000</v>
      </c>
      <c r="D53" s="8">
        <v>28</v>
      </c>
      <c r="E53" s="10">
        <v>13300</v>
      </c>
      <c r="F53" s="8">
        <v>5950</v>
      </c>
      <c r="G53" s="18">
        <f t="shared" si="16"/>
        <v>1.9</v>
      </c>
      <c r="H53" s="1">
        <f t="shared" si="17"/>
        <v>0.85</v>
      </c>
      <c r="I53" s="17" t="s">
        <v>32</v>
      </c>
    </row>
    <row r="55" spans="3:9" x14ac:dyDescent="0.3">
      <c r="C55" s="1" t="s">
        <v>33</v>
      </c>
    </row>
    <row r="58" spans="3:9" x14ac:dyDescent="0.3">
      <c r="C58" s="8">
        <v>1</v>
      </c>
      <c r="D58" s="8" t="s">
        <v>23</v>
      </c>
      <c r="E58" s="8">
        <v>0.85</v>
      </c>
      <c r="F58" s="8" t="s">
        <v>12</v>
      </c>
      <c r="G58" s="8"/>
    </row>
    <row r="59" spans="3:9" x14ac:dyDescent="0.3">
      <c r="C59" s="8">
        <f>1/1000</f>
        <v>1E-3</v>
      </c>
      <c r="D59" s="8" t="s">
        <v>24</v>
      </c>
      <c r="E59" s="8">
        <v>0.85</v>
      </c>
      <c r="F59" s="8" t="s">
        <v>12</v>
      </c>
      <c r="G59" s="8"/>
    </row>
    <row r="60" spans="3:9" x14ac:dyDescent="0.3">
      <c r="C60" s="8">
        <f>C59/1000</f>
        <v>9.9999999999999995E-7</v>
      </c>
      <c r="D60" s="8" t="s">
        <v>18</v>
      </c>
      <c r="E60" s="8">
        <f>E59</f>
        <v>0.85</v>
      </c>
      <c r="F60" s="8" t="s">
        <v>12</v>
      </c>
      <c r="G60" s="8"/>
    </row>
    <row r="61" spans="3:9" x14ac:dyDescent="0.3">
      <c r="C61" s="8">
        <f>C60</f>
        <v>9.9999999999999995E-7</v>
      </c>
      <c r="D61" s="8" t="s">
        <v>18</v>
      </c>
      <c r="E61" s="8">
        <f>E60/1000</f>
        <v>8.4999999999999995E-4</v>
      </c>
      <c r="F61" s="8" t="s">
        <v>39</v>
      </c>
      <c r="G61" s="8"/>
    </row>
    <row r="62" spans="3:9" x14ac:dyDescent="0.3">
      <c r="C62" s="8">
        <v>1</v>
      </c>
      <c r="D62" s="8" t="s">
        <v>18</v>
      </c>
      <c r="E62" s="10">
        <f>E61/C61</f>
        <v>850</v>
      </c>
      <c r="F62" s="8" t="s">
        <v>39</v>
      </c>
      <c r="G62" s="8" t="s">
        <v>40</v>
      </c>
    </row>
    <row r="65" spans="3:3" x14ac:dyDescent="0.3">
      <c r="C65" s="1" t="s">
        <v>46</v>
      </c>
    </row>
    <row r="67" spans="3:3" x14ac:dyDescent="0.3">
      <c r="C67" s="1" t="s">
        <v>47</v>
      </c>
    </row>
    <row r="68" spans="3:3" x14ac:dyDescent="0.3">
      <c r="C68" s="19" t="s">
        <v>48</v>
      </c>
    </row>
  </sheetData>
  <mergeCells count="1">
    <mergeCell ref="H4:AG4"/>
  </mergeCells>
  <hyperlinks>
    <hyperlink ref="C68" r:id="rId1" xr:uid="{729AED13-4824-4DFB-8495-390FC1763B2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Overview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Doedée</dc:creator>
  <cp:lastModifiedBy>Vincent Doedée</cp:lastModifiedBy>
  <dcterms:created xsi:type="dcterms:W3CDTF">2021-11-26T07:14:06Z</dcterms:created>
  <dcterms:modified xsi:type="dcterms:W3CDTF">2021-12-06T07:08:17Z</dcterms:modified>
</cp:coreProperties>
</file>